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0" yWindow="460" windowWidth="23080" windowHeight="14080" activeTab="0"/>
  </bookViews>
  <sheets>
    <sheet name="Input" sheetId="1" r:id="rId1"/>
    <sheet name="Calc" sheetId="2" r:id="rId2"/>
  </sheets>
  <definedNames/>
  <calcPr fullCalcOnLoad="1"/>
</workbook>
</file>

<file path=xl/sharedStrings.xml><?xml version="1.0" encoding="utf-8"?>
<sst xmlns="http://schemas.openxmlformats.org/spreadsheetml/2006/main" count="111" uniqueCount="75">
  <si>
    <t>Rd-coordinaten:</t>
  </si>
  <si>
    <t>X</t>
  </si>
  <si>
    <t>Y</t>
  </si>
  <si>
    <t>WGS84-coordinaten:</t>
  </si>
  <si>
    <t>lat</t>
  </si>
  <si>
    <t>lon</t>
  </si>
  <si>
    <t>rd2bessel</t>
  </si>
  <si>
    <t>x0</t>
  </si>
  <si>
    <t>y0</t>
  </si>
  <si>
    <t>k</t>
  </si>
  <si>
    <t>bigr</t>
  </si>
  <si>
    <t>m</t>
  </si>
  <si>
    <t>n</t>
  </si>
  <si>
    <t>pi</t>
  </si>
  <si>
    <t>lambda0</t>
  </si>
  <si>
    <t>phi0</t>
  </si>
  <si>
    <t>l0</t>
  </si>
  <si>
    <t>b0</t>
  </si>
  <si>
    <t>e</t>
  </si>
  <si>
    <t>a</t>
  </si>
  <si>
    <t>Constanten:</t>
  </si>
  <si>
    <t>d_1</t>
  </si>
  <si>
    <t>d_2</t>
  </si>
  <si>
    <t>r</t>
  </si>
  <si>
    <t>sa</t>
  </si>
  <si>
    <t>ca</t>
  </si>
  <si>
    <t>psi</t>
  </si>
  <si>
    <t>cpsi</t>
  </si>
  <si>
    <t>spsi</t>
  </si>
  <si>
    <t>sb</t>
  </si>
  <si>
    <t>cb</t>
  </si>
  <si>
    <t>b</t>
  </si>
  <si>
    <t>sdl</t>
  </si>
  <si>
    <t>dl</t>
  </si>
  <si>
    <t>lambda</t>
  </si>
  <si>
    <t>w</t>
  </si>
  <si>
    <t>q</t>
  </si>
  <si>
    <t>phiprime</t>
  </si>
  <si>
    <t>dq</t>
  </si>
  <si>
    <t>phi</t>
  </si>
  <si>
    <t>bessel2rd</t>
  </si>
  <si>
    <t>bessel2wgs84</t>
  </si>
  <si>
    <t>wgs842bessel</t>
  </si>
  <si>
    <t>dphi</t>
  </si>
  <si>
    <t>dlam</t>
  </si>
  <si>
    <t>phicor</t>
  </si>
  <si>
    <t>lamcor</t>
  </si>
  <si>
    <t>phiwgs</t>
  </si>
  <si>
    <t>lamwgs</t>
  </si>
  <si>
    <t>phibes</t>
  </si>
  <si>
    <t>lambes</t>
  </si>
  <si>
    <t>qprime</t>
  </si>
  <si>
    <t>s2psihalf</t>
  </si>
  <si>
    <t>cpsihalf</t>
  </si>
  <si>
    <t>spsihalf</t>
  </si>
  <si>
    <t>tpsihalf</t>
  </si>
  <si>
    <t>x</t>
  </si>
  <si>
    <t>y</t>
  </si>
  <si>
    <t>INPUT</t>
  </si>
  <si>
    <t>OUTPUT</t>
  </si>
  <si>
    <t>Legenda:</t>
  </si>
  <si>
    <t>Berekening van RD naar WGS84:</t>
  </si>
  <si>
    <t>Berekening van WGS84 naar RD:</t>
  </si>
  <si>
    <t>Deze berekening werd overgenomen uit de source-code van de software van Ejo Schrama &lt;schrama@geo.tudelft.nl&gt;.</t>
  </si>
  <si>
    <t>Voer hier de waarden voor RD- of voor de WGS84-coördinaten in en,</t>
  </si>
  <si>
    <t>Deze berekening werd overgenomen uit de source-code</t>
  </si>
  <si>
    <t>van de software van Ejo Schrama</t>
  </si>
  <si>
    <t>File voor upload via OziExplorer naar GPS-II+</t>
  </si>
  <si>
    <t>Punt:</t>
  </si>
  <si>
    <t>Lees hier de berekende waarden af na een druk op &lt;CTRL-b&gt;.</t>
  </si>
  <si>
    <t>Datum,WGS84,WGS84,0,0,0,0,0</t>
  </si>
  <si>
    <t>Markeer dit bereik en plak het in een editor voor upload naar GPS.</t>
  </si>
  <si>
    <t>De software staat op:</t>
  </si>
  <si>
    <t>ftp://ocean.lr.tudelft.nl/ejo/rd2wgs/rd2wgs.tar</t>
  </si>
  <si>
    <t>(http://ocean.lr.tudelft.nl/). De software staat op: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</si>
</sst>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#0"/>
    <numFmt numFmtId="179" formatCode="#0.#"/>
    <numFmt numFmtId="180" formatCode="00#"/>
    <numFmt numFmtId="181" formatCode="0.000000"/>
    <numFmt numFmtId="182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Verdana"/>
      <family val="2"/>
    </font>
    <font>
      <sz val="9"/>
      <color indexed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11" fontId="0" fillId="0" borderId="14" xfId="0" applyNumberFormat="1" applyFill="1" applyBorder="1" applyAlignment="1">
      <alignment/>
    </xf>
    <xf numFmtId="0" fontId="2" fillId="33" borderId="1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34" borderId="15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35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 horizontal="centerContinuous"/>
    </xf>
    <xf numFmtId="1" fontId="3" fillId="0" borderId="17" xfId="0" applyNumberFormat="1" applyFont="1" applyFill="1" applyBorder="1" applyAlignment="1">
      <alignment horizontal="centerContinuous"/>
    </xf>
    <xf numFmtId="1" fontId="3" fillId="0" borderId="18" xfId="0" applyNumberFormat="1" applyFont="1" applyFill="1" applyBorder="1" applyAlignment="1">
      <alignment horizontal="centerContinuous"/>
    </xf>
    <xf numFmtId="1" fontId="3" fillId="0" borderId="10" xfId="0" applyNumberFormat="1" applyFont="1" applyFill="1" applyBorder="1" applyAlignment="1">
      <alignment horizontal="centerContinuous"/>
    </xf>
    <xf numFmtId="1" fontId="3" fillId="0" borderId="12" xfId="0" applyNumberFormat="1" applyFont="1" applyFill="1" applyBorder="1" applyAlignment="1">
      <alignment horizontal="centerContinuous"/>
    </xf>
    <xf numFmtId="1" fontId="3" fillId="0" borderId="11" xfId="0" applyNumberFormat="1" applyFont="1" applyFill="1" applyBorder="1" applyAlignment="1">
      <alignment horizontal="centerContinuous"/>
    </xf>
    <xf numFmtId="1" fontId="3" fillId="0" borderId="19" xfId="0" applyNumberFormat="1" applyFont="1" applyFill="1" applyBorder="1" applyAlignment="1">
      <alignment/>
    </xf>
    <xf numFmtId="1" fontId="3" fillId="0" borderId="20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 horizontal="center"/>
    </xf>
    <xf numFmtId="1" fontId="4" fillId="36" borderId="22" xfId="0" applyNumberFormat="1" applyFont="1" applyFill="1" applyBorder="1" applyAlignment="1">
      <alignment/>
    </xf>
    <xf numFmtId="1" fontId="4" fillId="36" borderId="19" xfId="0" applyNumberFormat="1" applyFont="1" applyFill="1" applyBorder="1" applyAlignment="1">
      <alignment/>
    </xf>
    <xf numFmtId="0" fontId="4" fillId="36" borderId="19" xfId="0" applyFont="1" applyFill="1" applyBorder="1" applyAlignment="1">
      <alignment/>
    </xf>
    <xf numFmtId="1" fontId="3" fillId="34" borderId="23" xfId="0" applyNumberFormat="1" applyFont="1" applyFill="1" applyBorder="1" applyAlignment="1">
      <alignment/>
    </xf>
    <xf numFmtId="1" fontId="3" fillId="35" borderId="13" xfId="0" applyNumberFormat="1" applyFont="1" applyFill="1" applyBorder="1" applyAlignment="1">
      <alignment/>
    </xf>
    <xf numFmtId="1" fontId="3" fillId="34" borderId="13" xfId="0" applyNumberFormat="1" applyFont="1" applyFill="1" applyBorder="1" applyAlignment="1">
      <alignment/>
    </xf>
    <xf numFmtId="1" fontId="3" fillId="35" borderId="23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37" borderId="0" xfId="0" applyFont="1" applyFill="1" applyBorder="1" applyAlignment="1">
      <alignment/>
    </xf>
    <xf numFmtId="1" fontId="3" fillId="37" borderId="15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17" xfId="0" applyNumberFormat="1" applyFont="1" applyFill="1" applyBorder="1" applyAlignment="1">
      <alignment horizontal="centerContinuous"/>
    </xf>
    <xf numFmtId="181" fontId="3" fillId="0" borderId="11" xfId="0" applyNumberFormat="1" applyFont="1" applyFill="1" applyBorder="1" applyAlignment="1">
      <alignment horizontal="centerContinuous"/>
    </xf>
    <xf numFmtId="181" fontId="3" fillId="0" borderId="21" xfId="0" applyNumberFormat="1" applyFont="1" applyFill="1" applyBorder="1" applyAlignment="1">
      <alignment/>
    </xf>
    <xf numFmtId="181" fontId="3" fillId="0" borderId="18" xfId="0" applyNumberFormat="1" applyFont="1" applyFill="1" applyBorder="1" applyAlignment="1">
      <alignment horizontal="centerContinuous"/>
    </xf>
    <xf numFmtId="181" fontId="4" fillId="36" borderId="20" xfId="0" applyNumberFormat="1" applyFont="1" applyFill="1" applyBorder="1" applyAlignment="1">
      <alignment/>
    </xf>
    <xf numFmtId="181" fontId="3" fillId="35" borderId="14" xfId="0" applyNumberFormat="1" applyFont="1" applyFill="1" applyBorder="1" applyAlignment="1">
      <alignment/>
    </xf>
    <xf numFmtId="181" fontId="3" fillId="0" borderId="12" xfId="0" applyNumberFormat="1" applyFont="1" applyFill="1" applyBorder="1" applyAlignment="1">
      <alignment horizontal="centerContinuous"/>
    </xf>
    <xf numFmtId="181" fontId="3" fillId="0" borderId="20" xfId="0" applyNumberFormat="1" applyFont="1" applyFill="1" applyBorder="1" applyAlignment="1">
      <alignment/>
    </xf>
    <xf numFmtId="0" fontId="0" fillId="37" borderId="0" xfId="0" applyFill="1" applyAlignment="1">
      <alignment/>
    </xf>
    <xf numFmtId="181" fontId="3" fillId="34" borderId="14" xfId="0" applyNumberFormat="1" applyFont="1" applyFill="1" applyBorder="1" applyAlignment="1">
      <alignment/>
    </xf>
    <xf numFmtId="0" fontId="7" fillId="33" borderId="19" xfId="53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7" fillId="33" borderId="0" xfId="53" applyFont="1" applyFill="1" applyBorder="1" applyAlignment="1" applyProtection="1">
      <alignment/>
      <protection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X59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2" width="7.8515625" style="29" customWidth="1"/>
    <col min="3" max="3" width="3.28125" style="30" customWidth="1"/>
    <col min="4" max="4" width="10.7109375" style="42" customWidth="1"/>
    <col min="5" max="5" width="2.140625" style="30" customWidth="1"/>
    <col min="6" max="6" width="10.7109375" style="42" customWidth="1"/>
    <col min="7" max="7" width="2.7109375" style="14" customWidth="1"/>
    <col min="8" max="8" width="3.28125" style="31" customWidth="1"/>
    <col min="9" max="9" width="10.7109375" style="46" customWidth="1"/>
    <col min="10" max="10" width="2.140625" style="31" customWidth="1"/>
    <col min="11" max="11" width="10.7109375" style="46" customWidth="1"/>
    <col min="12" max="13" width="7.8515625" style="32" customWidth="1"/>
    <col min="14" max="14" width="6.421875" style="14" customWidth="1"/>
    <col min="15" max="15" width="12.421875" style="14" bestFit="1" customWidth="1"/>
    <col min="16" max="16" width="9.28125" style="14" bestFit="1" customWidth="1"/>
    <col min="17" max="17" width="3.7109375" style="14" customWidth="1"/>
    <col min="18" max="22" width="9.140625" style="14" customWidth="1"/>
    <col min="23" max="24" width="4.7109375" style="14" customWidth="1"/>
    <col min="25" max="16384" width="9.140625" style="14" customWidth="1"/>
  </cols>
  <sheetData>
    <row r="1" spans="1:21" ht="12.75">
      <c r="A1" s="12" t="s">
        <v>60</v>
      </c>
      <c r="B1" s="12"/>
      <c r="C1" s="13"/>
      <c r="D1" s="36" t="s">
        <v>64</v>
      </c>
      <c r="E1" s="12"/>
      <c r="F1" s="36"/>
      <c r="H1" s="12"/>
      <c r="I1" s="36"/>
      <c r="J1" s="12"/>
      <c r="K1" s="36"/>
      <c r="L1" s="12"/>
      <c r="M1" s="12"/>
      <c r="O1" s="11" t="s">
        <v>65</v>
      </c>
      <c r="P1" s="52"/>
      <c r="Q1" s="52"/>
      <c r="R1" s="52"/>
      <c r="S1" s="52"/>
      <c r="T1" s="53"/>
      <c r="U1" s="50"/>
    </row>
    <row r="2" spans="1:21" ht="12.75">
      <c r="A2" s="12"/>
      <c r="B2" s="12"/>
      <c r="C2" s="15"/>
      <c r="D2" s="36" t="s">
        <v>69</v>
      </c>
      <c r="E2" s="12"/>
      <c r="F2" s="36"/>
      <c r="H2" s="12"/>
      <c r="I2" s="36"/>
      <c r="J2" s="12"/>
      <c r="K2" s="36"/>
      <c r="L2" s="12"/>
      <c r="M2" s="12"/>
      <c r="O2" s="54" t="s">
        <v>66</v>
      </c>
      <c r="P2" s="48"/>
      <c r="Q2" s="48"/>
      <c r="R2" s="48"/>
      <c r="S2" s="48"/>
      <c r="T2" s="55"/>
      <c r="U2" s="50"/>
    </row>
    <row r="3" spans="1:21" ht="12.75">
      <c r="A3" s="12"/>
      <c r="B3" s="12"/>
      <c r="C3" s="35"/>
      <c r="D3" s="36" t="s">
        <v>71</v>
      </c>
      <c r="E3" s="12"/>
      <c r="F3" s="36"/>
      <c r="H3" s="12"/>
      <c r="I3" s="36"/>
      <c r="J3" s="12"/>
      <c r="K3" s="36"/>
      <c r="L3" s="12"/>
      <c r="M3" s="12"/>
      <c r="O3" s="54" t="s">
        <v>74</v>
      </c>
      <c r="P3" s="48"/>
      <c r="Q3" s="48"/>
      <c r="R3" s="48"/>
      <c r="S3" s="48"/>
      <c r="T3" s="55"/>
      <c r="U3" s="50"/>
    </row>
    <row r="4" spans="1:21" ht="12.75">
      <c r="A4" s="12"/>
      <c r="B4" s="12"/>
      <c r="C4" s="12"/>
      <c r="D4" s="36"/>
      <c r="E4" s="12"/>
      <c r="F4" s="36"/>
      <c r="H4" s="12"/>
      <c r="I4" s="36"/>
      <c r="J4" s="12"/>
      <c r="K4" s="36"/>
      <c r="L4" s="12"/>
      <c r="M4" s="12"/>
      <c r="O4" s="47" t="s">
        <v>73</v>
      </c>
      <c r="P4" s="56"/>
      <c r="Q4" s="56"/>
      <c r="R4" s="56"/>
      <c r="S4" s="56"/>
      <c r="T4" s="57"/>
      <c r="U4" s="50"/>
    </row>
    <row r="5" spans="1:13" ht="12">
      <c r="A5" s="16" t="s">
        <v>61</v>
      </c>
      <c r="B5" s="17"/>
      <c r="C5" s="17"/>
      <c r="D5" s="37"/>
      <c r="E5" s="17"/>
      <c r="F5" s="40"/>
      <c r="H5" s="16" t="s">
        <v>62</v>
      </c>
      <c r="I5" s="37"/>
      <c r="J5" s="17"/>
      <c r="K5" s="37"/>
      <c r="L5" s="17"/>
      <c r="M5" s="18"/>
    </row>
    <row r="6" spans="1:13" ht="12">
      <c r="A6" s="19" t="s">
        <v>58</v>
      </c>
      <c r="B6" s="20"/>
      <c r="C6" s="19" t="s">
        <v>59</v>
      </c>
      <c r="D6" s="38"/>
      <c r="E6" s="21"/>
      <c r="F6" s="43"/>
      <c r="H6" s="19" t="s">
        <v>58</v>
      </c>
      <c r="I6" s="38"/>
      <c r="J6" s="21"/>
      <c r="K6" s="43"/>
      <c r="L6" s="19" t="s">
        <v>59</v>
      </c>
      <c r="M6" s="20"/>
    </row>
    <row r="7" spans="1:15" ht="12">
      <c r="A7" s="22" t="s">
        <v>0</v>
      </c>
      <c r="B7" s="23"/>
      <c r="C7" s="22" t="s">
        <v>3</v>
      </c>
      <c r="D7" s="39"/>
      <c r="E7" s="24"/>
      <c r="F7" s="44"/>
      <c r="H7" s="22" t="s">
        <v>3</v>
      </c>
      <c r="I7" s="39"/>
      <c r="J7" s="24"/>
      <c r="K7" s="44"/>
      <c r="L7" s="22" t="s">
        <v>0</v>
      </c>
      <c r="M7" s="23"/>
      <c r="O7" s="14" t="s">
        <v>67</v>
      </c>
    </row>
    <row r="8" spans="1:15" ht="12">
      <c r="A8" s="25" t="s">
        <v>1</v>
      </c>
      <c r="B8" s="25" t="s">
        <v>2</v>
      </c>
      <c r="C8" s="16" t="s">
        <v>4</v>
      </c>
      <c r="D8" s="40"/>
      <c r="E8" s="16" t="s">
        <v>5</v>
      </c>
      <c r="F8" s="40"/>
      <c r="H8" s="16" t="s">
        <v>4</v>
      </c>
      <c r="I8" s="40"/>
      <c r="J8" s="16" t="s">
        <v>5</v>
      </c>
      <c r="K8" s="40"/>
      <c r="L8" s="25" t="s">
        <v>1</v>
      </c>
      <c r="M8" s="25" t="s">
        <v>2</v>
      </c>
      <c r="N8" s="14" t="s">
        <v>68</v>
      </c>
      <c r="O8" s="34" t="s">
        <v>70</v>
      </c>
    </row>
    <row r="9" spans="1:15" ht="12" hidden="1">
      <c r="A9" s="26">
        <v>-199150</v>
      </c>
      <c r="B9" s="26">
        <v>-515360</v>
      </c>
      <c r="C9" s="27">
        <f>INT(Calc!$H$7)</f>
        <v>43</v>
      </c>
      <c r="D9" s="41">
        <f>(Calc!$H$7-C9)*60</f>
        <v>16.98882435267521</v>
      </c>
      <c r="E9" s="27">
        <f>INT(Calc!$H$8)</f>
        <v>1</v>
      </c>
      <c r="F9" s="41">
        <f>(Calc!$H$8-E9)*60</f>
        <v>2.8963445122045917</v>
      </c>
      <c r="H9" s="28">
        <v>52</v>
      </c>
      <c r="I9" s="41">
        <v>37.43820299590283</v>
      </c>
      <c r="J9" s="27">
        <v>6</v>
      </c>
      <c r="K9" s="41">
        <v>2.353100373577064</v>
      </c>
      <c r="L9" s="26">
        <f>Calc!$N$22</f>
        <v>199149.99509809076</v>
      </c>
      <c r="M9" s="26">
        <f>Calc!$N$23</f>
        <v>515359.986285761</v>
      </c>
      <c r="O9" s="34"/>
    </row>
    <row r="10" spans="1:15" ht="12">
      <c r="A10" s="29">
        <v>225456</v>
      </c>
      <c r="B10" s="29">
        <v>440709</v>
      </c>
      <c r="C10" s="30">
        <v>51</v>
      </c>
      <c r="D10" s="42">
        <v>57.021095699193864</v>
      </c>
      <c r="E10" s="30">
        <v>6</v>
      </c>
      <c r="F10" s="42">
        <v>24.72419763157081</v>
      </c>
      <c r="H10" s="31">
        <v>52</v>
      </c>
      <c r="I10" s="46">
        <v>21.2579</v>
      </c>
      <c r="J10" s="31">
        <v>5</v>
      </c>
      <c r="K10" s="46">
        <v>37.7591</v>
      </c>
      <c r="L10" s="32">
        <v>171494.8591503155</v>
      </c>
      <c r="M10" s="32">
        <v>485182.7163364711</v>
      </c>
      <c r="N10" s="33">
        <v>1</v>
      </c>
      <c r="O10" s="34" t="str">
        <f>"WP,D,"&amp;TEXT(N10,"00#")&amp;" ,  "&amp;C10&amp;"."&amp;MID(D10/60,3,8)&amp;",   "&amp;E10&amp;"."&amp;MID(F10/60,3,8)&amp;",08/27/2000,12:00:00,A"</f>
        <v>WP,D,001 ,  51.95035159,   6.41206996,08/27/2000,12:00:00,A</v>
      </c>
    </row>
    <row r="11" spans="1:15" ht="12">
      <c r="A11" s="29">
        <v>207732</v>
      </c>
      <c r="B11" s="29">
        <v>437609</v>
      </c>
      <c r="C11" s="30">
        <v>51</v>
      </c>
      <c r="D11" s="42">
        <v>55.46731118013085</v>
      </c>
      <c r="E11" s="30">
        <v>6</v>
      </c>
      <c r="F11" s="42">
        <v>9.228180123671041</v>
      </c>
      <c r="H11" s="30">
        <v>52</v>
      </c>
      <c r="I11" s="42">
        <v>37.43820299590283</v>
      </c>
      <c r="J11" s="30">
        <v>6</v>
      </c>
      <c r="K11" s="42">
        <v>2.353100373577064</v>
      </c>
      <c r="L11" s="32">
        <v>199149.99509809076</v>
      </c>
      <c r="M11" s="32">
        <v>515359.986285761</v>
      </c>
      <c r="N11" s="33">
        <f>N10+1</f>
        <v>2</v>
      </c>
      <c r="O11" s="34" t="str">
        <f aca="true" t="shared" si="0" ref="O11:O23">"WP,D,"&amp;TEXT(N11,"00#")&amp;" ,  "&amp;C11&amp;"."&amp;MID(D11/60,3,8)&amp;",   "&amp;E11&amp;"."&amp;MID(F11/60,3,8)&amp;",08/27/2000,12:00:00,A"</f>
        <v>WP,D,002 ,  51.92445518,   6.15380300,08/27/2000,12:00:00,A</v>
      </c>
    </row>
    <row r="12" spans="1:15" ht="12">
      <c r="A12" s="29">
        <v>198768</v>
      </c>
      <c r="B12" s="29">
        <v>441547</v>
      </c>
      <c r="C12" s="30">
        <v>51</v>
      </c>
      <c r="D12" s="42">
        <v>57.63762061885785</v>
      </c>
      <c r="E12" s="30">
        <v>6</v>
      </c>
      <c r="F12" s="42">
        <v>1.439864744706476</v>
      </c>
      <c r="N12" s="33">
        <f aca="true" t="shared" si="1" ref="N12:N59">N11+1</f>
        <v>3</v>
      </c>
      <c r="O12" s="34" t="str">
        <f t="shared" si="0"/>
        <v>WP,D,003 ,  51.96062701,   6.02399774,08/27/2000,12:00:00,A</v>
      </c>
    </row>
    <row r="13" spans="1:15" ht="12">
      <c r="A13" s="29">
        <v>180843</v>
      </c>
      <c r="B13" s="29">
        <v>443039</v>
      </c>
      <c r="C13" s="30">
        <v>51</v>
      </c>
      <c r="D13" s="42">
        <v>58.50963890568309</v>
      </c>
      <c r="E13" s="30">
        <v>5</v>
      </c>
      <c r="F13" s="42">
        <v>45.79924660884927</v>
      </c>
      <c r="N13" s="33">
        <f t="shared" si="1"/>
        <v>4</v>
      </c>
      <c r="O13" s="34" t="str">
        <f t="shared" si="0"/>
        <v>WP,D,004 ,  51.97516064,   5.76332077,08/27/2000,12:00:00,A</v>
      </c>
    </row>
    <row r="14" spans="1:15" ht="12">
      <c r="A14" s="29">
        <v>168096</v>
      </c>
      <c r="B14" s="29">
        <v>441012</v>
      </c>
      <c r="C14" s="30">
        <v>51</v>
      </c>
      <c r="D14" s="42">
        <v>57.44333214501438</v>
      </c>
      <c r="E14" s="30">
        <v>5</v>
      </c>
      <c r="F14" s="42">
        <v>34.66353255859774</v>
      </c>
      <c r="N14" s="33">
        <f t="shared" si="1"/>
        <v>5</v>
      </c>
      <c r="O14" s="34" t="str">
        <f t="shared" si="0"/>
        <v>WP,D,005 ,  51.95738886,   5.57772554,08/27/2000,12:00:00,A</v>
      </c>
    </row>
    <row r="15" spans="1:15" ht="12">
      <c r="A15" s="29">
        <v>173011</v>
      </c>
      <c r="B15" s="29">
        <v>451399</v>
      </c>
      <c r="C15" s="30">
        <v>52</v>
      </c>
      <c r="D15" s="42">
        <v>3.0366132416509117</v>
      </c>
      <c r="E15" s="30">
        <v>5</v>
      </c>
      <c r="F15" s="42">
        <v>38.98654821790886</v>
      </c>
      <c r="N15" s="33">
        <f t="shared" si="1"/>
        <v>6</v>
      </c>
      <c r="O15" s="34" t="str">
        <f t="shared" si="0"/>
        <v>WP,D,006 ,  52.05061022,   5.64977580,08/27/2000,12:00:00,A</v>
      </c>
    </row>
    <row r="16" spans="1:15" ht="12">
      <c r="A16" s="29">
        <v>157810</v>
      </c>
      <c r="B16" s="29">
        <v>465291</v>
      </c>
      <c r="C16" s="30">
        <v>52</v>
      </c>
      <c r="D16" s="42">
        <v>10.545435734456987</v>
      </c>
      <c r="E16" s="30">
        <v>5</v>
      </c>
      <c r="F16" s="42">
        <v>25.697035079652704</v>
      </c>
      <c r="N16" s="33">
        <f t="shared" si="1"/>
        <v>7</v>
      </c>
      <c r="O16" s="34" t="str">
        <f t="shared" si="0"/>
        <v>WP,D,007 ,  52.17575726,   5.42828391,08/27/2000,12:00:00,A</v>
      </c>
    </row>
    <row r="17" spans="1:15" ht="12">
      <c r="A17" s="29">
        <v>160517</v>
      </c>
      <c r="B17" s="29">
        <v>475039</v>
      </c>
      <c r="C17" s="30">
        <v>52</v>
      </c>
      <c r="D17" s="42">
        <v>15.801003432644194</v>
      </c>
      <c r="E17" s="30">
        <v>5</v>
      </c>
      <c r="F17" s="42">
        <v>28.081051907331744</v>
      </c>
      <c r="N17" s="33">
        <f t="shared" si="1"/>
        <v>8</v>
      </c>
      <c r="O17" s="34" t="str">
        <f t="shared" si="0"/>
        <v>WP,D,008 ,  52.26335005,   5.46801753,08/27/2000,12:00:00,A</v>
      </c>
    </row>
    <row r="18" spans="1:15" ht="12">
      <c r="A18" s="29">
        <v>166223</v>
      </c>
      <c r="B18" s="29">
        <v>495241</v>
      </c>
      <c r="C18" s="30">
        <v>52</v>
      </c>
      <c r="D18" s="42">
        <v>26.689800569004234</v>
      </c>
      <c r="E18" s="30">
        <v>5</v>
      </c>
      <c r="F18" s="42">
        <v>33.13645666166025</v>
      </c>
      <c r="N18" s="33">
        <f t="shared" si="1"/>
        <v>9</v>
      </c>
      <c r="O18" s="34" t="str">
        <f t="shared" si="0"/>
        <v>WP,D,009 ,  52.44483000,   5.55227427,08/27/2000,12:00:00,A</v>
      </c>
    </row>
    <row r="19" spans="1:15" ht="12">
      <c r="A19" s="29">
        <v>199150</v>
      </c>
      <c r="B19" s="29">
        <v>515360</v>
      </c>
      <c r="C19" s="30">
        <v>52</v>
      </c>
      <c r="D19" s="42">
        <v>37.43820299590283</v>
      </c>
      <c r="E19" s="30">
        <v>6</v>
      </c>
      <c r="F19" s="42">
        <v>2.353100373577064</v>
      </c>
      <c r="N19" s="33">
        <f t="shared" si="1"/>
        <v>10</v>
      </c>
      <c r="O19" s="34" t="str">
        <f t="shared" si="0"/>
        <v>WP,D,010 ,  52.62397004,   6.03921833,08/27/2000,12:00:00,A</v>
      </c>
    </row>
    <row r="20" spans="14:15" ht="12">
      <c r="N20" s="33">
        <f t="shared" si="1"/>
        <v>11</v>
      </c>
      <c r="O20" s="34" t="str">
        <f t="shared" si="0"/>
        <v>WP,D,011 ,  .,   .,08/27/2000,12:00:00,A</v>
      </c>
    </row>
    <row r="21" spans="14:15" ht="12">
      <c r="N21" s="33">
        <f t="shared" si="1"/>
        <v>12</v>
      </c>
      <c r="O21" s="34" t="str">
        <f t="shared" si="0"/>
        <v>WP,D,012 ,  .,   .,08/27/2000,12:00:00,A</v>
      </c>
    </row>
    <row r="22" spans="14:15" ht="12">
      <c r="N22" s="33">
        <f t="shared" si="1"/>
        <v>13</v>
      </c>
      <c r="O22" s="34" t="str">
        <f t="shared" si="0"/>
        <v>WP,D,013 ,  .,   .,08/27/2000,12:00:00,A</v>
      </c>
    </row>
    <row r="23" spans="14:15" ht="12">
      <c r="N23" s="33">
        <f t="shared" si="1"/>
        <v>14</v>
      </c>
      <c r="O23" s="34" t="str">
        <f t="shared" si="0"/>
        <v>WP,D,014 ,  .,   .,08/27/2000,12:00:00,A</v>
      </c>
    </row>
    <row r="24" spans="14:15" ht="12">
      <c r="N24" s="33">
        <f t="shared" si="1"/>
        <v>15</v>
      </c>
      <c r="O24" s="34"/>
    </row>
    <row r="25" spans="14:15" ht="12">
      <c r="N25" s="33">
        <f t="shared" si="1"/>
        <v>16</v>
      </c>
      <c r="O25" s="34"/>
    </row>
    <row r="26" spans="14:15" ht="12">
      <c r="N26" s="33">
        <f t="shared" si="1"/>
        <v>17</v>
      </c>
      <c r="O26" s="34"/>
    </row>
    <row r="27" spans="14:15" ht="12">
      <c r="N27" s="33">
        <f t="shared" si="1"/>
        <v>18</v>
      </c>
      <c r="O27" s="34"/>
    </row>
    <row r="28" spans="14:15" ht="12">
      <c r="N28" s="33">
        <f t="shared" si="1"/>
        <v>19</v>
      </c>
      <c r="O28" s="34"/>
    </row>
    <row r="29" spans="14:15" ht="12">
      <c r="N29" s="33">
        <f t="shared" si="1"/>
        <v>20</v>
      </c>
      <c r="O29" s="34"/>
    </row>
    <row r="30" spans="14:15" ht="12">
      <c r="N30" s="33">
        <f t="shared" si="1"/>
        <v>21</v>
      </c>
      <c r="O30" s="34"/>
    </row>
    <row r="31" spans="14:15" ht="12">
      <c r="N31" s="33">
        <f t="shared" si="1"/>
        <v>22</v>
      </c>
      <c r="O31" s="34"/>
    </row>
    <row r="32" spans="14:15" ht="12">
      <c r="N32" s="33">
        <f t="shared" si="1"/>
        <v>23</v>
      </c>
      <c r="O32" s="34"/>
    </row>
    <row r="33" spans="14:15" ht="12">
      <c r="N33" s="33">
        <f t="shared" si="1"/>
        <v>24</v>
      </c>
      <c r="O33" s="34"/>
    </row>
    <row r="34" spans="14:15" ht="12">
      <c r="N34" s="33">
        <f t="shared" si="1"/>
        <v>25</v>
      </c>
      <c r="O34" s="34"/>
    </row>
    <row r="35" spans="14:15" ht="12">
      <c r="N35" s="33">
        <f t="shared" si="1"/>
        <v>26</v>
      </c>
      <c r="O35" s="34"/>
    </row>
    <row r="36" spans="14:15" ht="12">
      <c r="N36" s="33">
        <f t="shared" si="1"/>
        <v>27</v>
      </c>
      <c r="O36" s="34"/>
    </row>
    <row r="37" spans="14:15" ht="12">
      <c r="N37" s="33">
        <f t="shared" si="1"/>
        <v>28</v>
      </c>
      <c r="O37" s="34"/>
    </row>
    <row r="38" spans="14:15" ht="12">
      <c r="N38" s="33">
        <f t="shared" si="1"/>
        <v>29</v>
      </c>
      <c r="O38" s="34"/>
    </row>
    <row r="39" spans="14:15" ht="12">
      <c r="N39" s="33">
        <f t="shared" si="1"/>
        <v>30</v>
      </c>
      <c r="O39" s="34"/>
    </row>
    <row r="40" spans="14:15" ht="12">
      <c r="N40" s="33">
        <f t="shared" si="1"/>
        <v>31</v>
      </c>
      <c r="O40" s="34"/>
    </row>
    <row r="41" spans="14:15" ht="12">
      <c r="N41" s="33">
        <f t="shared" si="1"/>
        <v>32</v>
      </c>
      <c r="O41" s="34"/>
    </row>
    <row r="42" spans="14:15" ht="12">
      <c r="N42" s="33">
        <f t="shared" si="1"/>
        <v>33</v>
      </c>
      <c r="O42" s="34"/>
    </row>
    <row r="43" spans="14:15" ht="12">
      <c r="N43" s="33">
        <f t="shared" si="1"/>
        <v>34</v>
      </c>
      <c r="O43" s="34"/>
    </row>
    <row r="44" spans="14:15" ht="12">
      <c r="N44" s="33">
        <f t="shared" si="1"/>
        <v>35</v>
      </c>
      <c r="O44" s="34"/>
    </row>
    <row r="45" spans="14:15" ht="12">
      <c r="N45" s="33">
        <f t="shared" si="1"/>
        <v>36</v>
      </c>
      <c r="O45" s="34"/>
    </row>
    <row r="46" spans="14:24" ht="12.75">
      <c r="N46" s="33">
        <f t="shared" si="1"/>
        <v>37</v>
      </c>
      <c r="O46" s="45"/>
      <c r="P46"/>
      <c r="Q46"/>
      <c r="R46"/>
      <c r="S46"/>
      <c r="T46"/>
      <c r="U46"/>
      <c r="V46"/>
      <c r="W46"/>
      <c r="X46"/>
    </row>
    <row r="47" spans="14:24" ht="12.75">
      <c r="N47" s="33">
        <f t="shared" si="1"/>
        <v>38</v>
      </c>
      <c r="O47" s="45"/>
      <c r="P47"/>
      <c r="Q47"/>
      <c r="R47"/>
      <c r="S47"/>
      <c r="T47"/>
      <c r="U47"/>
      <c r="V47"/>
      <c r="W47"/>
      <c r="X47"/>
    </row>
    <row r="48" spans="14:24" ht="12.75">
      <c r="N48" s="33">
        <f t="shared" si="1"/>
        <v>39</v>
      </c>
      <c r="O48" s="45"/>
      <c r="P48"/>
      <c r="Q48"/>
      <c r="R48"/>
      <c r="S48"/>
      <c r="T48"/>
      <c r="U48"/>
      <c r="V48"/>
      <c r="W48"/>
      <c r="X48"/>
    </row>
    <row r="49" spans="14:24" ht="12.75">
      <c r="N49" s="33">
        <f t="shared" si="1"/>
        <v>40</v>
      </c>
      <c r="O49" s="45"/>
      <c r="P49"/>
      <c r="Q49"/>
      <c r="R49"/>
      <c r="S49"/>
      <c r="T49"/>
      <c r="U49"/>
      <c r="V49"/>
      <c r="W49"/>
      <c r="X49"/>
    </row>
    <row r="50" spans="14:24" ht="12.75">
      <c r="N50" s="33">
        <f t="shared" si="1"/>
        <v>41</v>
      </c>
      <c r="O50" s="45"/>
      <c r="P50"/>
      <c r="Q50"/>
      <c r="R50"/>
      <c r="S50"/>
      <c r="T50"/>
      <c r="U50"/>
      <c r="V50"/>
      <c r="W50"/>
      <c r="X50"/>
    </row>
    <row r="51" spans="14:24" ht="12.75">
      <c r="N51" s="33">
        <f t="shared" si="1"/>
        <v>42</v>
      </c>
      <c r="O51" s="45"/>
      <c r="P51"/>
      <c r="Q51"/>
      <c r="R51"/>
      <c r="S51"/>
      <c r="T51"/>
      <c r="U51"/>
      <c r="V51"/>
      <c r="W51"/>
      <c r="X51"/>
    </row>
    <row r="52" spans="14:24" ht="12.75">
      <c r="N52" s="33">
        <f t="shared" si="1"/>
        <v>43</v>
      </c>
      <c r="O52" s="45"/>
      <c r="P52"/>
      <c r="Q52"/>
      <c r="R52"/>
      <c r="S52"/>
      <c r="T52"/>
      <c r="U52"/>
      <c r="V52"/>
      <c r="W52"/>
      <c r="X52"/>
    </row>
    <row r="53" spans="14:24" ht="12.75">
      <c r="N53" s="33">
        <f t="shared" si="1"/>
        <v>44</v>
      </c>
      <c r="O53" s="45"/>
      <c r="P53"/>
      <c r="Q53"/>
      <c r="R53"/>
      <c r="S53"/>
      <c r="T53"/>
      <c r="U53"/>
      <c r="V53"/>
      <c r="W53"/>
      <c r="X53"/>
    </row>
    <row r="54" spans="14:24" ht="12.75">
      <c r="N54" s="33">
        <f t="shared" si="1"/>
        <v>45</v>
      </c>
      <c r="O54" s="45"/>
      <c r="P54"/>
      <c r="Q54"/>
      <c r="R54"/>
      <c r="S54"/>
      <c r="T54"/>
      <c r="U54"/>
      <c r="V54"/>
      <c r="W54"/>
      <c r="X54"/>
    </row>
    <row r="55" spans="14:24" ht="12.75">
      <c r="N55" s="33">
        <f t="shared" si="1"/>
        <v>46</v>
      </c>
      <c r="O55" s="45"/>
      <c r="P55"/>
      <c r="Q55"/>
      <c r="R55"/>
      <c r="S55"/>
      <c r="T55"/>
      <c r="U55"/>
      <c r="V55"/>
      <c r="W55"/>
      <c r="X55"/>
    </row>
    <row r="56" spans="14:24" ht="12.75">
      <c r="N56" s="33">
        <f t="shared" si="1"/>
        <v>47</v>
      </c>
      <c r="O56" s="45"/>
      <c r="P56"/>
      <c r="Q56"/>
      <c r="R56"/>
      <c r="S56"/>
      <c r="T56"/>
      <c r="U56"/>
      <c r="V56"/>
      <c r="W56"/>
      <c r="X56"/>
    </row>
    <row r="57" spans="14:24" ht="12.75">
      <c r="N57" s="33">
        <f t="shared" si="1"/>
        <v>48</v>
      </c>
      <c r="O57" s="45"/>
      <c r="P57"/>
      <c r="Q57"/>
      <c r="R57"/>
      <c r="S57"/>
      <c r="T57"/>
      <c r="U57"/>
      <c r="V57"/>
      <c r="W57"/>
      <c r="X57"/>
    </row>
    <row r="58" spans="14:15" ht="12">
      <c r="N58" s="33">
        <f t="shared" si="1"/>
        <v>49</v>
      </c>
      <c r="O58" s="34"/>
    </row>
    <row r="59" spans="14:15" ht="12">
      <c r="N59" s="33">
        <f t="shared" si="1"/>
        <v>50</v>
      </c>
      <c r="O59" s="34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N34"/>
  <sheetViews>
    <sheetView zoomScalePageLayoutView="0" workbookViewId="0" topLeftCell="A1">
      <selection activeCell="A34" sqref="A34"/>
    </sheetView>
  </sheetViews>
  <sheetFormatPr defaultColWidth="8.8515625" defaultRowHeight="12.75"/>
  <cols>
    <col min="1" max="1" width="8.00390625" style="0" customWidth="1"/>
    <col min="2" max="2" width="12.00390625" style="1" bestFit="1" customWidth="1"/>
    <col min="3" max="3" width="2.7109375" style="0" customWidth="1"/>
    <col min="4" max="4" width="8.00390625" style="0" customWidth="1"/>
    <col min="5" max="5" width="12.421875" style="0" customWidth="1"/>
    <col min="6" max="6" width="2.7109375" style="0" customWidth="1"/>
    <col min="7" max="7" width="7.28125" style="0" customWidth="1"/>
    <col min="8" max="8" width="12.421875" style="0" customWidth="1"/>
    <col min="9" max="9" width="2.7109375" style="0" customWidth="1"/>
    <col min="10" max="10" width="7.00390625" style="0" customWidth="1"/>
    <col min="11" max="11" width="12.421875" style="0" customWidth="1"/>
    <col min="12" max="12" width="2.7109375" style="0" customWidth="1"/>
    <col min="13" max="13" width="8.28125" style="0" customWidth="1"/>
    <col min="14" max="14" width="12.421875" style="0" customWidth="1"/>
  </cols>
  <sheetData>
    <row r="1" spans="1:14" ht="12.75">
      <c r="A1" s="3" t="s">
        <v>20</v>
      </c>
      <c r="B1" s="8"/>
      <c r="C1" s="4"/>
      <c r="D1" s="3" t="s">
        <v>6</v>
      </c>
      <c r="E1" s="5"/>
      <c r="F1" s="4"/>
      <c r="G1" s="3" t="s">
        <v>41</v>
      </c>
      <c r="H1" s="5"/>
      <c r="I1" s="4"/>
      <c r="J1" s="3" t="s">
        <v>42</v>
      </c>
      <c r="K1" s="5"/>
      <c r="L1" s="4"/>
      <c r="M1" s="3" t="s">
        <v>40</v>
      </c>
      <c r="N1" s="5"/>
    </row>
    <row r="2" spans="1:14" ht="12.75">
      <c r="A2" s="6"/>
      <c r="B2" s="9"/>
      <c r="C2" s="2"/>
      <c r="D2" s="6"/>
      <c r="E2" s="7"/>
      <c r="F2" s="2"/>
      <c r="G2" s="6"/>
      <c r="H2" s="7"/>
      <c r="I2" s="2"/>
      <c r="J2" s="6"/>
      <c r="K2" s="7"/>
      <c r="L2" s="2"/>
      <c r="M2" s="6"/>
      <c r="N2" s="7"/>
    </row>
    <row r="3" spans="1:14" ht="12.75">
      <c r="A3" s="6" t="s">
        <v>7</v>
      </c>
      <c r="B3" s="10">
        <v>155000</v>
      </c>
      <c r="C3" s="2"/>
      <c r="D3" s="6" t="s">
        <v>21</v>
      </c>
      <c r="E3" s="7">
        <f>Input!A9-$B$3</f>
        <v>-354150</v>
      </c>
      <c r="F3" s="2"/>
      <c r="G3" s="6" t="s">
        <v>43</v>
      </c>
      <c r="H3" s="7">
        <f>$E$30-52</f>
        <v>-8.716910346207769</v>
      </c>
      <c r="I3" s="2"/>
      <c r="J3" s="6" t="s">
        <v>43</v>
      </c>
      <c r="K3" s="7">
        <f>Input!H9+(Input!I9/60)-52</f>
        <v>0.6239700499317138</v>
      </c>
      <c r="L3" s="2"/>
      <c r="M3" s="6" t="s">
        <v>39</v>
      </c>
      <c r="N3" s="7">
        <f>$K$7/180*PI()</f>
        <v>0.9184797468160886</v>
      </c>
    </row>
    <row r="4" spans="1:14" ht="12.75">
      <c r="A4" s="6" t="s">
        <v>8</v>
      </c>
      <c r="B4" s="10">
        <v>463000</v>
      </c>
      <c r="C4" s="2"/>
      <c r="D4" s="6" t="s">
        <v>22</v>
      </c>
      <c r="E4" s="7">
        <f>Input!B9-$B$4</f>
        <v>-978360</v>
      </c>
      <c r="F4" s="2"/>
      <c r="G4" s="6" t="s">
        <v>44</v>
      </c>
      <c r="H4" s="7">
        <f>$E$29-5</f>
        <v>-3.9518995179305128</v>
      </c>
      <c r="I4" s="2"/>
      <c r="J4" s="6" t="s">
        <v>44</v>
      </c>
      <c r="K4" s="7">
        <f>Input!J9+(Input!K9/60)-5</f>
        <v>1.0392183395596177</v>
      </c>
      <c r="L4" s="2"/>
      <c r="M4" s="6" t="s">
        <v>34</v>
      </c>
      <c r="N4" s="7">
        <f>$K$8/180*PI()</f>
        <v>0.10541348385831739</v>
      </c>
    </row>
    <row r="5" spans="1:14" ht="12.75">
      <c r="A5" s="6" t="s">
        <v>9</v>
      </c>
      <c r="B5" s="9">
        <v>0.9999079</v>
      </c>
      <c r="C5" s="2"/>
      <c r="D5" s="6" t="s">
        <v>23</v>
      </c>
      <c r="E5" s="7">
        <f>SQRT($E$3*$E$3+$E$4*$E$4)</f>
        <v>1040485.7097048474</v>
      </c>
      <c r="F5" s="2"/>
      <c r="G5" s="6" t="s">
        <v>45</v>
      </c>
      <c r="H5" s="7">
        <f>(-96.862-$H$3*11.714-$H$4*0.125)*0.00001</f>
        <v>5.741875235219123E-05</v>
      </c>
      <c r="I5" s="2"/>
      <c r="J5" s="6" t="s">
        <v>45</v>
      </c>
      <c r="K5" s="7">
        <f>(-96.862-$K$3*11.714-$K$4*0.125)*0.00001</f>
        <v>-0.0010430108745734506</v>
      </c>
      <c r="L5" s="2"/>
      <c r="M5" s="6" t="s">
        <v>51</v>
      </c>
      <c r="N5" s="7">
        <f>LN(TAN($N$3/2+PI()/4))</f>
        <v>1.0840053257025386</v>
      </c>
    </row>
    <row r="6" spans="1:14" ht="12.75">
      <c r="A6" s="6" t="s">
        <v>10</v>
      </c>
      <c r="B6" s="9">
        <v>6382644.571</v>
      </c>
      <c r="C6" s="2"/>
      <c r="D6" s="6" t="s">
        <v>24</v>
      </c>
      <c r="E6" s="7">
        <f>IF($E$5&lt;&gt;0,(Input!A9-$B$3)/$E$5,0)</f>
        <v>-0.3403698836963951</v>
      </c>
      <c r="F6" s="2"/>
      <c r="G6" s="6" t="s">
        <v>46</v>
      </c>
      <c r="H6" s="7">
        <f>($H$3*0.329-37.902-$H$4*14.667)*0.00001</f>
        <v>0.00017192646725584475</v>
      </c>
      <c r="I6" s="2"/>
      <c r="J6" s="6" t="s">
        <v>46</v>
      </c>
      <c r="K6" s="7">
        <f>($K$3*0.329-37.902-$K$4*14.667)*0.00001</f>
        <v>-0.0005293892923989339</v>
      </c>
      <c r="L6" s="2"/>
      <c r="M6" s="6" t="s">
        <v>38</v>
      </c>
      <c r="N6" s="7">
        <f>$B$14/2*LN(($B$14*SIN($N$3)+1)/(1-$B$14*SIN($N$3)))</f>
        <v>0.005311459085427569</v>
      </c>
    </row>
    <row r="7" spans="1:14" ht="12.75">
      <c r="A7" s="6" t="s">
        <v>11</v>
      </c>
      <c r="B7" s="9">
        <v>0.003773953832</v>
      </c>
      <c r="C7" s="2"/>
      <c r="D7" s="6" t="s">
        <v>25</v>
      </c>
      <c r="E7" s="7">
        <f>IF($E$5&lt;&gt;0,(Input!B9-$B$4)/$E$5,0)</f>
        <v>-0.9402916261843995</v>
      </c>
      <c r="F7" s="2"/>
      <c r="G7" s="6" t="s">
        <v>47</v>
      </c>
      <c r="H7" s="7">
        <f>$E$30+$H$5</f>
        <v>43.28314707254459</v>
      </c>
      <c r="I7" s="2"/>
      <c r="J7" s="6" t="s">
        <v>49</v>
      </c>
      <c r="K7" s="7">
        <f>Input!H9+(Input!I9/60)-$K$5</f>
        <v>52.62501306080629</v>
      </c>
      <c r="L7" s="2"/>
      <c r="M7" s="6" t="s">
        <v>36</v>
      </c>
      <c r="N7" s="7">
        <f>$N$5-$N$6</f>
        <v>1.078693866617111</v>
      </c>
    </row>
    <row r="8" spans="1:14" ht="12.75">
      <c r="A8" s="6" t="s">
        <v>12</v>
      </c>
      <c r="B8" s="9">
        <v>1.00047585668</v>
      </c>
      <c r="C8" s="2"/>
      <c r="D8" s="6" t="s">
        <v>26</v>
      </c>
      <c r="E8" s="7">
        <f>ATAN2($B$5*2*$B$6,$E$5)*2</f>
        <v>0.16267329555118257</v>
      </c>
      <c r="F8" s="2"/>
      <c r="G8" s="6" t="s">
        <v>48</v>
      </c>
      <c r="H8" s="7">
        <f>$E$29+$H$6</f>
        <v>1.0482724085367432</v>
      </c>
      <c r="I8" s="2"/>
      <c r="J8" s="6" t="s">
        <v>50</v>
      </c>
      <c r="K8" s="7">
        <f>Input!J9+(Input!K9/60)-$K$6</f>
        <v>6.039747728852016</v>
      </c>
      <c r="L8" s="2"/>
      <c r="M8" s="6" t="s">
        <v>35</v>
      </c>
      <c r="N8" s="7">
        <f>$B$8*$N$7+$B$7</f>
        <v>1.082981124131216</v>
      </c>
    </row>
    <row r="9" spans="1:14" ht="12.75">
      <c r="A9" s="6" t="s">
        <v>13</v>
      </c>
      <c r="B9" s="9">
        <f>PI()</f>
        <v>3.141592653589793</v>
      </c>
      <c r="C9" s="2"/>
      <c r="D9" s="6" t="s">
        <v>27</v>
      </c>
      <c r="E9" s="7">
        <f>COS($E$8)</f>
        <v>0.9867978516176678</v>
      </c>
      <c r="F9" s="2"/>
      <c r="G9" s="6"/>
      <c r="H9" s="7"/>
      <c r="I9" s="2"/>
      <c r="J9" s="6"/>
      <c r="K9" s="7"/>
      <c r="L9" s="2"/>
      <c r="M9" s="6" t="s">
        <v>31</v>
      </c>
      <c r="N9" s="7">
        <f>ATAN(EXP($N$8))*2-PI()/2</f>
        <v>0.91785777374781</v>
      </c>
    </row>
    <row r="10" spans="1:14" ht="12.75">
      <c r="A10" s="6" t="s">
        <v>14</v>
      </c>
      <c r="B10" s="9">
        <f>PI()*0.0299313271611111</f>
        <v>0.09403203752153927</v>
      </c>
      <c r="C10" s="2"/>
      <c r="D10" s="6" t="s">
        <v>28</v>
      </c>
      <c r="E10" s="7">
        <f>SIN($E$8)</f>
        <v>0.16195678449128129</v>
      </c>
      <c r="F10" s="2"/>
      <c r="G10" s="6"/>
      <c r="H10" s="7"/>
      <c r="I10" s="2"/>
      <c r="J10" s="6"/>
      <c r="K10" s="7"/>
      <c r="L10" s="2"/>
      <c r="M10" s="6" t="s">
        <v>33</v>
      </c>
      <c r="N10" s="7">
        <f>$B$8*($N$4-$B$10)</f>
        <v>0.01138686227404554</v>
      </c>
    </row>
    <row r="11" spans="1:14" ht="12.75">
      <c r="A11" s="6" t="s">
        <v>15</v>
      </c>
      <c r="B11" s="9">
        <f>PI()*0.289756447533333</f>
        <v>0.9102967269009954</v>
      </c>
      <c r="C11" s="2"/>
      <c r="D11" s="6" t="s">
        <v>29</v>
      </c>
      <c r="E11" s="7">
        <f>$E$7*COS($B$13)*$E$10+SIN($B$13)*$E$9</f>
        <v>0.6853864747536327</v>
      </c>
      <c r="F11" s="2"/>
      <c r="G11" s="6"/>
      <c r="H11" s="7"/>
      <c r="I11" s="2"/>
      <c r="J11" s="6"/>
      <c r="K11" s="7"/>
      <c r="L11" s="2"/>
      <c r="M11" s="6" t="s">
        <v>21</v>
      </c>
      <c r="N11" s="7">
        <f>SIN(($N$9-$B$13)/2)</f>
        <v>0.004086497126500608</v>
      </c>
    </row>
    <row r="12" spans="1:14" ht="12.75">
      <c r="A12" s="6" t="s">
        <v>16</v>
      </c>
      <c r="B12" s="9">
        <f>PI()*0.0299313271611111</f>
        <v>0.09403203752153927</v>
      </c>
      <c r="C12" s="2"/>
      <c r="D12" s="6" t="s">
        <v>21</v>
      </c>
      <c r="E12" s="7">
        <f>$E$11</f>
        <v>0.6853864747536327</v>
      </c>
      <c r="F12" s="2"/>
      <c r="G12" s="6"/>
      <c r="H12" s="7"/>
      <c r="I12" s="2"/>
      <c r="J12" s="6"/>
      <c r="K12" s="7"/>
      <c r="L12" s="2"/>
      <c r="M12" s="6" t="s">
        <v>22</v>
      </c>
      <c r="N12" s="7">
        <f>SIN($N$10/2)</f>
        <v>0.005693400378160872</v>
      </c>
    </row>
    <row r="13" spans="1:14" ht="12.75">
      <c r="A13" s="6" t="s">
        <v>17</v>
      </c>
      <c r="B13" s="9">
        <f>PI()*0.289561651383333</f>
        <v>0.9096847567472077</v>
      </c>
      <c r="C13" s="2"/>
      <c r="D13" s="6" t="s">
        <v>30</v>
      </c>
      <c r="E13" s="7">
        <f>SQRT(1-$E$12^2)</f>
        <v>0.7281794972565404</v>
      </c>
      <c r="F13" s="2"/>
      <c r="G13" s="6"/>
      <c r="H13" s="7"/>
      <c r="I13" s="2"/>
      <c r="J13" s="6"/>
      <c r="K13" s="7"/>
      <c r="L13" s="2"/>
      <c r="M13" s="6" t="s">
        <v>52</v>
      </c>
      <c r="N13" s="7">
        <f>$N$11*$N$11+$N$12*$N$12*COS($N$9)*COS($B$13)</f>
        <v>2.8790698153306834E-05</v>
      </c>
    </row>
    <row r="14" spans="1:14" ht="12.75">
      <c r="A14" s="6" t="s">
        <v>18</v>
      </c>
      <c r="B14" s="9">
        <v>0.08169683122</v>
      </c>
      <c r="C14" s="2"/>
      <c r="D14" s="6" t="s">
        <v>31</v>
      </c>
      <c r="E14" s="7">
        <f>ACOS($E$13)</f>
        <v>0.7551343074271845</v>
      </c>
      <c r="F14" s="2"/>
      <c r="G14" s="6"/>
      <c r="H14" s="7"/>
      <c r="I14" s="2"/>
      <c r="J14" s="6"/>
      <c r="K14" s="7"/>
      <c r="L14" s="2"/>
      <c r="M14" s="6" t="s">
        <v>53</v>
      </c>
      <c r="N14" s="7">
        <f>SQRT(1-$N$13)</f>
        <v>0.9999856045473088</v>
      </c>
    </row>
    <row r="15" spans="1:14" ht="12.75">
      <c r="A15" s="6" t="s">
        <v>19</v>
      </c>
      <c r="B15" s="9">
        <v>6377397.155</v>
      </c>
      <c r="C15" s="2"/>
      <c r="D15" s="6" t="s">
        <v>32</v>
      </c>
      <c r="E15" s="7">
        <f>$E$6*$E$10/$E$13</f>
        <v>-0.07570277947789941</v>
      </c>
      <c r="F15" s="2"/>
      <c r="G15" s="6"/>
      <c r="H15" s="7"/>
      <c r="I15" s="2"/>
      <c r="J15" s="6"/>
      <c r="K15" s="7"/>
      <c r="L15" s="2"/>
      <c r="M15" s="6" t="s">
        <v>54</v>
      </c>
      <c r="N15" s="7">
        <f>SQRT($N$13)</f>
        <v>0.005365696427613738</v>
      </c>
    </row>
    <row r="16" spans="1:14" ht="12.75">
      <c r="A16" s="6"/>
      <c r="B16" s="9"/>
      <c r="C16" s="2"/>
      <c r="D16" s="6" t="s">
        <v>33</v>
      </c>
      <c r="E16" s="7">
        <f>ASIN($E$15)</f>
        <v>-0.07577527423775164</v>
      </c>
      <c r="F16" s="2"/>
      <c r="G16" s="6"/>
      <c r="H16" s="7"/>
      <c r="I16" s="2"/>
      <c r="J16" s="6"/>
      <c r="K16" s="7"/>
      <c r="L16" s="2"/>
      <c r="M16" s="6" t="s">
        <v>55</v>
      </c>
      <c r="N16" s="7">
        <f>$N$15/$N$14</f>
        <v>0.005365773670354762</v>
      </c>
    </row>
    <row r="17" spans="1:14" ht="12.75">
      <c r="A17" s="6"/>
      <c r="B17" s="9"/>
      <c r="C17" s="2"/>
      <c r="D17" s="6" t="s">
        <v>34</v>
      </c>
      <c r="E17" s="7">
        <f>$E$16/$B$8+$B$10</f>
        <v>0.018292804303852342</v>
      </c>
      <c r="F17" s="2"/>
      <c r="G17" s="6"/>
      <c r="H17" s="7"/>
      <c r="I17" s="2"/>
      <c r="J17" s="6"/>
      <c r="K17" s="7"/>
      <c r="L17" s="2"/>
      <c r="M17" s="6" t="s">
        <v>28</v>
      </c>
      <c r="N17" s="7">
        <f>$N$15*2*$N$14</f>
        <v>0.010731238371969319</v>
      </c>
    </row>
    <row r="18" spans="1:14" ht="12.75">
      <c r="A18" s="6"/>
      <c r="B18" s="9"/>
      <c r="C18" s="2"/>
      <c r="D18" s="6" t="s">
        <v>35</v>
      </c>
      <c r="E18" s="7">
        <f>LN(TAN($E$14/2+PI()/4))</f>
        <v>0.8392025983878334</v>
      </c>
      <c r="F18" s="2"/>
      <c r="G18" s="6"/>
      <c r="H18" s="7"/>
      <c r="I18" s="2"/>
      <c r="J18" s="6"/>
      <c r="K18" s="7"/>
      <c r="L18" s="2"/>
      <c r="M18" s="6" t="s">
        <v>27</v>
      </c>
      <c r="N18" s="7">
        <f>1-$N$13*2</f>
        <v>0.9999424186036934</v>
      </c>
    </row>
    <row r="19" spans="1:14" ht="12.75">
      <c r="A19" s="6"/>
      <c r="B19" s="9"/>
      <c r="C19" s="2"/>
      <c r="D19" s="6" t="s">
        <v>36</v>
      </c>
      <c r="E19" s="7">
        <f>($E$18-$B$7)/$B$8</f>
        <v>0.8350312893387926</v>
      </c>
      <c r="F19" s="2"/>
      <c r="G19" s="6"/>
      <c r="H19" s="7"/>
      <c r="I19" s="2"/>
      <c r="J19" s="6"/>
      <c r="K19" s="7"/>
      <c r="L19" s="2"/>
      <c r="M19" s="6" t="s">
        <v>24</v>
      </c>
      <c r="N19" s="7">
        <f>SIN($N$10)*COS($N$9)/$N$17</f>
        <v>0.6446257559089837</v>
      </c>
    </row>
    <row r="20" spans="1:14" ht="12.75">
      <c r="A20" s="6"/>
      <c r="B20" s="9"/>
      <c r="C20" s="2"/>
      <c r="D20" s="6" t="s">
        <v>37</v>
      </c>
      <c r="E20" s="7">
        <f>ATAN(EXP($E$19))*2-PI()/2</f>
        <v>0.752092504258572</v>
      </c>
      <c r="F20" s="2"/>
      <c r="G20" s="6"/>
      <c r="H20" s="7"/>
      <c r="I20" s="2"/>
      <c r="J20" s="6"/>
      <c r="K20" s="7"/>
      <c r="L20" s="2"/>
      <c r="M20" s="6" t="s">
        <v>25</v>
      </c>
      <c r="N20" s="7">
        <f>(SIN($N$9)-SIN($B$13)*$N$18)/(COS($B13)*$N$17)</f>
        <v>0.7644982896114147</v>
      </c>
    </row>
    <row r="21" spans="1:14" ht="12.75">
      <c r="A21" s="6"/>
      <c r="B21" s="9"/>
      <c r="C21" s="2"/>
      <c r="D21" s="6" t="s">
        <v>38</v>
      </c>
      <c r="E21" s="7">
        <f>$B$14/2*LN(($B$14*SIN($E$20)+1)/(1-$B$14*SIN($E$20)))</f>
        <v>0.004564463185392693</v>
      </c>
      <c r="F21" s="2"/>
      <c r="G21" s="6"/>
      <c r="H21" s="7"/>
      <c r="I21" s="2"/>
      <c r="J21" s="6"/>
      <c r="K21" s="7"/>
      <c r="L21" s="2"/>
      <c r="M21" s="6" t="s">
        <v>23</v>
      </c>
      <c r="N21" s="7">
        <f>$B$5*2*$B$6*$N$16</f>
        <v>68489.34392302562</v>
      </c>
    </row>
    <row r="22" spans="1:14" ht="12.75">
      <c r="A22" s="6"/>
      <c r="B22" s="9"/>
      <c r="C22" s="2"/>
      <c r="D22" s="6" t="s">
        <v>39</v>
      </c>
      <c r="E22" s="7">
        <f>ATAN(EXP($E$19+$E$21))*2-PI()/2</f>
        <v>0.7554205556363129</v>
      </c>
      <c r="F22" s="2"/>
      <c r="G22" s="6"/>
      <c r="H22" s="7"/>
      <c r="I22" s="2"/>
      <c r="J22" s="6"/>
      <c r="K22" s="7"/>
      <c r="L22" s="2"/>
      <c r="M22" s="6" t="s">
        <v>56</v>
      </c>
      <c r="N22" s="7">
        <f>$N$21*$N$19+$B$3</f>
        <v>199149.99509809076</v>
      </c>
    </row>
    <row r="23" spans="1:14" ht="12.75">
      <c r="A23" s="6"/>
      <c r="B23" s="9"/>
      <c r="C23" s="2"/>
      <c r="D23" s="6" t="s">
        <v>38</v>
      </c>
      <c r="E23" s="7">
        <f>$B$14/2*LN(($B$14*SIN($E$22)+1)/(1-$B$14*SIN($E$22)))</f>
        <v>0.004580709726053731</v>
      </c>
      <c r="F23" s="2"/>
      <c r="G23" s="6"/>
      <c r="H23" s="7"/>
      <c r="I23" s="2"/>
      <c r="J23" s="6"/>
      <c r="K23" s="7"/>
      <c r="L23" s="2"/>
      <c r="M23" s="6" t="s">
        <v>57</v>
      </c>
      <c r="N23" s="7">
        <f>$N$21*$N$20+$B$4</f>
        <v>515359.986285761</v>
      </c>
    </row>
    <row r="24" spans="1:14" ht="12.75">
      <c r="A24" s="6"/>
      <c r="B24" s="9"/>
      <c r="C24" s="2"/>
      <c r="D24" s="6" t="s">
        <v>39</v>
      </c>
      <c r="E24" s="7">
        <f>ATAN(EXP($E$19+$E$23))*2-PI()/2</f>
        <v>0.7554323827803504</v>
      </c>
      <c r="F24" s="2"/>
      <c r="G24" s="6"/>
      <c r="H24" s="7"/>
      <c r="I24" s="2"/>
      <c r="J24" s="6"/>
      <c r="K24" s="7"/>
      <c r="L24" s="2"/>
      <c r="M24" s="6"/>
      <c r="N24" s="7"/>
    </row>
    <row r="25" spans="1:14" ht="12.75">
      <c r="A25" s="6"/>
      <c r="B25" s="9"/>
      <c r="C25" s="2"/>
      <c r="D25" s="6" t="s">
        <v>38</v>
      </c>
      <c r="E25" s="7">
        <f>$B$14/2*LN(($B$14*SIN($E$24)+1)/(1-$B$14*SIN($E$24)))</f>
        <v>0.004580767372684791</v>
      </c>
      <c r="F25" s="2"/>
      <c r="G25" s="6"/>
      <c r="H25" s="7"/>
      <c r="I25" s="2"/>
      <c r="J25" s="6"/>
      <c r="K25" s="7"/>
      <c r="L25" s="2"/>
      <c r="M25" s="6"/>
      <c r="N25" s="7"/>
    </row>
    <row r="26" spans="1:14" ht="12.75">
      <c r="A26" s="6"/>
      <c r="B26" s="9"/>
      <c r="C26" s="2"/>
      <c r="D26" s="6" t="s">
        <v>39</v>
      </c>
      <c r="E26" s="7">
        <f>ATAN(EXP($E$19+$E$25))*2-PI()/2</f>
        <v>0.7554324247456656</v>
      </c>
      <c r="F26" s="2"/>
      <c r="G26" s="6"/>
      <c r="H26" s="7"/>
      <c r="I26" s="2"/>
      <c r="J26" s="6"/>
      <c r="K26" s="7"/>
      <c r="L26" s="2"/>
      <c r="M26" s="6"/>
      <c r="N26" s="7"/>
    </row>
    <row r="27" spans="1:14" ht="12.75">
      <c r="A27" s="6"/>
      <c r="B27" s="9"/>
      <c r="C27" s="2"/>
      <c r="D27" s="6" t="s">
        <v>38</v>
      </c>
      <c r="E27" s="7">
        <f>$B$14/2*LN(($B$14*SIN($E$26)+1)/(1-$B$14*SIN($E$26)))</f>
        <v>0.0045807675772266306</v>
      </c>
      <c r="F27" s="2"/>
      <c r="G27" s="6"/>
      <c r="H27" s="7"/>
      <c r="I27" s="2"/>
      <c r="J27" s="6"/>
      <c r="K27" s="7"/>
      <c r="L27" s="2"/>
      <c r="M27" s="6"/>
      <c r="N27" s="7"/>
    </row>
    <row r="28" spans="1:14" ht="12.75">
      <c r="A28" s="6"/>
      <c r="B28" s="9"/>
      <c r="C28" s="2"/>
      <c r="D28" s="6" t="s">
        <v>39</v>
      </c>
      <c r="E28" s="7">
        <f>ATAN(EXP($E$19+$E$27))*2-PI()/2</f>
        <v>0.755432424894567</v>
      </c>
      <c r="F28" s="2"/>
      <c r="G28" s="6"/>
      <c r="H28" s="7"/>
      <c r="I28" s="2"/>
      <c r="J28" s="6"/>
      <c r="K28" s="7"/>
      <c r="L28" s="2"/>
      <c r="M28" s="6"/>
      <c r="N28" s="7"/>
    </row>
    <row r="29" spans="1:14" ht="12.75">
      <c r="A29" s="6"/>
      <c r="B29" s="9"/>
      <c r="C29" s="2"/>
      <c r="D29" s="6" t="s">
        <v>34</v>
      </c>
      <c r="E29" s="7">
        <f>$E$17/PI()*180</f>
        <v>1.0481004820694872</v>
      </c>
      <c r="F29" s="2"/>
      <c r="G29" s="6"/>
      <c r="H29" s="7"/>
      <c r="I29" s="2"/>
      <c r="J29" s="6"/>
      <c r="K29" s="7"/>
      <c r="L29" s="2"/>
      <c r="M29" s="6"/>
      <c r="N29" s="7"/>
    </row>
    <row r="30" spans="1:14" ht="12.75">
      <c r="A30" s="6"/>
      <c r="B30" s="9"/>
      <c r="C30" s="2"/>
      <c r="D30" s="6" t="s">
        <v>39</v>
      </c>
      <c r="E30" s="7">
        <f>$E$28/PI()*180</f>
        <v>43.28308965379223</v>
      </c>
      <c r="F30" s="2"/>
      <c r="G30" s="6"/>
      <c r="H30" s="7"/>
      <c r="I30" s="2"/>
      <c r="J30" s="6"/>
      <c r="K30" s="7"/>
      <c r="L30" s="2"/>
      <c r="M30" s="6"/>
      <c r="N30" s="7"/>
    </row>
    <row r="31" spans="1:14" ht="12.75">
      <c r="A31" s="6"/>
      <c r="B31" s="9"/>
      <c r="C31" s="2"/>
      <c r="D31" s="6"/>
      <c r="E31" s="7"/>
      <c r="F31" s="2"/>
      <c r="G31" s="6"/>
      <c r="H31" s="7"/>
      <c r="I31" s="2"/>
      <c r="J31" s="6"/>
      <c r="K31" s="7"/>
      <c r="L31" s="2"/>
      <c r="M31" s="6"/>
      <c r="N31" s="7"/>
    </row>
    <row r="32" spans="1:14" ht="12.75">
      <c r="A32" s="48" t="s">
        <v>63</v>
      </c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4" ht="12.75">
      <c r="A33" s="48" t="s">
        <v>72</v>
      </c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</row>
    <row r="34" spans="1:14" ht="12.75">
      <c r="A34" s="51" t="s">
        <v>73</v>
      </c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 ten Winkel</cp:lastModifiedBy>
  <dcterms:created xsi:type="dcterms:W3CDTF">1999-10-01T15:01:56Z</dcterms:created>
  <dcterms:modified xsi:type="dcterms:W3CDTF">2017-01-13T13:56:47Z</dcterms:modified>
  <cp:category/>
  <cp:version/>
  <cp:contentType/>
  <cp:contentStatus/>
</cp:coreProperties>
</file>